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120" windowWidth="18570" windowHeight="6300"/>
  </bookViews>
  <sheets>
    <sheet name="Pastor Detail" sheetId="1" r:id="rId1"/>
  </sheets>
  <externalReferences>
    <externalReference r:id="rId2"/>
  </externalReferences>
  <definedNames>
    <definedName name="Bud_Yr">'[1]Top Sheet'!$C$2</definedName>
  </definedNames>
  <calcPr calcId="124519"/>
</workbook>
</file>

<file path=xl/calcChain.xml><?xml version="1.0" encoding="utf-8"?>
<calcChain xmlns="http://schemas.openxmlformats.org/spreadsheetml/2006/main">
  <c r="C57" i="1"/>
  <c r="C58" s="1"/>
  <c r="B57"/>
  <c r="B58" s="1"/>
  <c r="C46"/>
  <c r="B46"/>
  <c r="C39"/>
  <c r="B28"/>
  <c r="B30" s="1"/>
  <c r="B33" s="1"/>
  <c r="B38" s="1"/>
  <c r="C17"/>
  <c r="C21" s="1"/>
  <c r="B14"/>
  <c r="B6"/>
  <c r="B11" s="1"/>
  <c r="C23" l="1"/>
  <c r="C47" s="1"/>
  <c r="C50" s="1"/>
  <c r="C51" s="1"/>
  <c r="C60" s="1"/>
  <c r="C62" s="1"/>
  <c r="B17"/>
  <c r="B21" s="1"/>
  <c r="B23" s="1"/>
  <c r="B47" l="1"/>
  <c r="B50" s="1"/>
  <c r="B51" s="1"/>
  <c r="B36"/>
  <c r="B37" s="1"/>
  <c r="B39" s="1"/>
  <c r="B40" s="1"/>
  <c r="B60" l="1"/>
  <c r="B62" s="1"/>
</calcChain>
</file>

<file path=xl/comments1.xml><?xml version="1.0" encoding="utf-8"?>
<comments xmlns="http://schemas.openxmlformats.org/spreadsheetml/2006/main">
  <authors>
    <author>Dawn Jacobson</author>
  </authors>
  <commentList>
    <comment ref="B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<sst xmlns="http://schemas.openxmlformats.org/spreadsheetml/2006/main" count="45" uniqueCount="42">
  <si>
    <t>2019 Budget</t>
  </si>
  <si>
    <t>Pastor 2019</t>
  </si>
  <si>
    <t>Salary</t>
  </si>
  <si>
    <t>Housing</t>
  </si>
  <si>
    <t>Total</t>
  </si>
  <si>
    <t>% of Year</t>
  </si>
  <si>
    <t>Annual Increase %</t>
  </si>
  <si>
    <t>Total Salary and Housing</t>
  </si>
  <si>
    <t>Portion of Medical/Vision/Dental Elected to go into Salary</t>
  </si>
  <si>
    <t>SS Allowance %</t>
  </si>
  <si>
    <t>SS Tax</t>
  </si>
  <si>
    <t>Total Defined Comp.</t>
  </si>
  <si>
    <t>Health Premium Allowance:</t>
  </si>
  <si>
    <t>Health/Dental/Vision Difference</t>
  </si>
  <si>
    <t>Additional Out of pocket differences</t>
  </si>
  <si>
    <t xml:space="preserve">    Sub-total</t>
  </si>
  <si>
    <t>Gross up</t>
  </si>
  <si>
    <t>Health Premium Allowance</t>
  </si>
  <si>
    <t>To Salary</t>
  </si>
  <si>
    <t>To Pension</t>
  </si>
  <si>
    <t>Pension</t>
  </si>
  <si>
    <t>Defined Comp.</t>
  </si>
  <si>
    <t>Pension at 11%</t>
  </si>
  <si>
    <t>Health Premium Allow added to Pension</t>
  </si>
  <si>
    <t>Total Pension</t>
  </si>
  <si>
    <t xml:space="preserve">    Total Pension as % of Defined Comp.</t>
  </si>
  <si>
    <t>Other Insurance:</t>
  </si>
  <si>
    <t>Disability</t>
  </si>
  <si>
    <t>Group Life</t>
  </si>
  <si>
    <t>Retiree</t>
  </si>
  <si>
    <t>Total Other Insurance %</t>
  </si>
  <si>
    <t>Health Care Premium Allow. (Portion expected to be included in Salary if not included in Defined Comp.)</t>
  </si>
  <si>
    <t>Health Premium Allow (Pension Portion only) @7.65%</t>
  </si>
  <si>
    <t>SubTotal</t>
  </si>
  <si>
    <t>Total Other Insurance</t>
  </si>
  <si>
    <t>Business Expenses</t>
  </si>
  <si>
    <t>Travel Allow</t>
  </si>
  <si>
    <t>Continuing Ed</t>
  </si>
  <si>
    <t>Cell Phone $25/Month</t>
  </si>
  <si>
    <t>Total Business Expenses</t>
  </si>
  <si>
    <t>Grand Total - Pastor</t>
  </si>
  <si>
    <t>Comparable Figure (year over year)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</si>
</sst>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5" fontId="0" fillId="2" borderId="7" xfId="0" applyNumberFormat="1" applyFill="1" applyBorder="1" applyAlignment="1">
      <alignment vertical="center"/>
    </xf>
    <xf numFmtId="5" fontId="0" fillId="0" borderId="7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5" fontId="3" fillId="0" borderId="6" xfId="1" applyNumberFormat="1" applyFont="1" applyFill="1" applyBorder="1" applyAlignment="1">
      <alignment horizontal="right" vertical="center"/>
    </xf>
    <xf numFmtId="5" fontId="3" fillId="2" borderId="8" xfId="0" applyNumberFormat="1" applyFont="1" applyFill="1" applyBorder="1" applyAlignment="1">
      <alignment vertical="center"/>
    </xf>
    <xf numFmtId="5" fontId="3" fillId="0" borderId="8" xfId="0" applyNumberFormat="1" applyFont="1" applyFill="1" applyBorder="1" applyAlignment="1">
      <alignment vertical="center"/>
    </xf>
    <xf numFmtId="5" fontId="0" fillId="2" borderId="7" xfId="0" applyNumberFormat="1" applyFill="1" applyBorder="1" applyAlignment="1">
      <alignment horizontal="right" vertical="center"/>
    </xf>
    <xf numFmtId="5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3" fillId="2" borderId="7" xfId="2" applyNumberFormat="1" applyFont="1" applyFill="1" applyBorder="1" applyAlignment="1">
      <alignment vertical="center"/>
    </xf>
    <xf numFmtId="10" fontId="3" fillId="0" borderId="7" xfId="2" applyNumberFormat="1" applyFont="1" applyFill="1" applyBorder="1" applyAlignment="1">
      <alignment vertical="center"/>
    </xf>
    <xf numFmtId="9" fontId="3" fillId="2" borderId="7" xfId="0" applyNumberFormat="1" applyFont="1" applyFill="1" applyBorder="1" applyAlignment="1">
      <alignment vertical="center"/>
    </xf>
    <xf numFmtId="9" fontId="3" fillId="0" borderId="7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5" fontId="2" fillId="2" borderId="7" xfId="0" applyNumberFormat="1" applyFont="1" applyFill="1" applyBorder="1" applyAlignment="1">
      <alignment horizontal="right" vertical="center"/>
    </xf>
    <xf numFmtId="5" fontId="5" fillId="0" borderId="7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5" fontId="4" fillId="2" borderId="7" xfId="1" applyNumberFormat="1" applyFont="1" applyFill="1" applyBorder="1" applyAlignment="1">
      <alignment horizontal="right" vertical="center"/>
    </xf>
    <xf numFmtId="5" fontId="4" fillId="0" borderId="7" xfId="1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10" fontId="3" fillId="0" borderId="6" xfId="2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horizontal="center" vertical="center"/>
    </xf>
    <xf numFmtId="5" fontId="0" fillId="0" borderId="0" xfId="0" applyNumberFormat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2" fillId="2" borderId="12" xfId="0" applyNumberFormat="1" applyFont="1" applyFill="1" applyBorder="1" applyAlignment="1">
      <alignment vertical="center"/>
    </xf>
    <xf numFmtId="5" fontId="2" fillId="0" borderId="1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5" fontId="6" fillId="0" borderId="6" xfId="1" applyNumberFormat="1" applyFont="1" applyFill="1" applyBorder="1" applyAlignment="1">
      <alignment horizontal="right" vertical="center"/>
    </xf>
    <xf numFmtId="5" fontId="0" fillId="0" borderId="11" xfId="0" applyNumberFormat="1" applyFill="1" applyBorder="1" applyAlignment="1">
      <alignment vertical="center"/>
    </xf>
    <xf numFmtId="9" fontId="3" fillId="0" borderId="3" xfId="0" applyNumberFormat="1" applyFont="1" applyFill="1" applyBorder="1" applyAlignment="1">
      <alignment vertical="center"/>
    </xf>
    <xf numFmtId="5" fontId="0" fillId="0" borderId="6" xfId="0" applyNumberFormat="1" applyFill="1" applyBorder="1" applyAlignment="1">
      <alignment vertical="center"/>
    </xf>
    <xf numFmtId="5" fontId="3" fillId="0" borderId="6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6" fillId="0" borderId="6" xfId="0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5" fontId="0" fillId="0" borderId="6" xfId="0" applyNumberFormat="1" applyBorder="1" applyAlignment="1">
      <alignment vertical="center"/>
    </xf>
    <xf numFmtId="0" fontId="2" fillId="0" borderId="9" xfId="0" applyFont="1" applyBorder="1" applyAlignment="1">
      <alignment vertical="center"/>
    </xf>
    <xf numFmtId="5" fontId="2" fillId="0" borderId="1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5" fontId="3" fillId="0" borderId="6" xfId="0" applyNumberFormat="1" applyFont="1" applyBorder="1" applyAlignment="1">
      <alignment vertical="center"/>
    </xf>
    <xf numFmtId="5" fontId="3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5" fontId="3" fillId="3" borderId="7" xfId="0" applyNumberFormat="1" applyFont="1" applyFill="1" applyBorder="1" applyAlignment="1">
      <alignment vertical="center"/>
    </xf>
    <xf numFmtId="5" fontId="3" fillId="3" borderId="6" xfId="0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5" fontId="6" fillId="0" borderId="11" xfId="0" applyNumberFormat="1" applyFont="1" applyBorder="1" applyAlignment="1">
      <alignment vertical="center"/>
    </xf>
    <xf numFmtId="5" fontId="6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5" fontId="2" fillId="2" borderId="14" xfId="0" applyNumberFormat="1" applyFont="1" applyFill="1" applyBorder="1" applyAlignment="1">
      <alignment vertical="center"/>
    </xf>
    <xf numFmtId="5" fontId="2" fillId="2" borderId="1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0" fillId="0" borderId="0" xfId="2" applyNumberFormat="1" applyFont="1" applyAlignment="1">
      <alignment vertical="center"/>
    </xf>
    <xf numFmtId="5" fontId="3" fillId="2" borderId="7" xfId="1" applyNumberFormat="1" applyFont="1" applyFill="1" applyBorder="1" applyAlignment="1">
      <alignment horizontal="right" vertical="center"/>
    </xf>
    <xf numFmtId="5" fontId="6" fillId="2" borderId="7" xfId="1" applyNumberFormat="1" applyFont="1" applyFill="1" applyBorder="1" applyAlignment="1">
      <alignment horizontal="right" vertical="center"/>
    </xf>
    <xf numFmtId="5" fontId="0" fillId="2" borderId="12" xfId="0" applyNumberFormat="1" applyFill="1" applyBorder="1" applyAlignment="1">
      <alignment vertical="center"/>
    </xf>
    <xf numFmtId="9" fontId="3" fillId="2" borderId="4" xfId="0" applyNumberFormat="1" applyFont="1" applyFill="1" applyBorder="1" applyAlignment="1">
      <alignment vertical="center"/>
    </xf>
    <xf numFmtId="5" fontId="2" fillId="2" borderId="7" xfId="0" applyNumberFormat="1" applyFont="1" applyFill="1" applyBorder="1" applyAlignment="1">
      <alignment vertical="center"/>
    </xf>
    <xf numFmtId="164" fontId="0" fillId="2" borderId="12" xfId="2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" fontId="2" fillId="2" borderId="3" xfId="0" applyNumberFormat="1" applyFont="1" applyFill="1" applyBorder="1" applyAlignment="1">
      <alignment horizontal="right" vertical="center"/>
    </xf>
    <xf numFmtId="5" fontId="2" fillId="2" borderId="11" xfId="0" applyNumberFormat="1" applyFont="1" applyFill="1" applyBorder="1" applyAlignment="1">
      <alignment horizontal="right" vertical="center"/>
    </xf>
    <xf numFmtId="5" fontId="2" fillId="2" borderId="2" xfId="0" applyNumberFormat="1" applyFont="1" applyFill="1" applyBorder="1" applyAlignment="1">
      <alignment horizontal="right" vertical="center"/>
    </xf>
    <xf numFmtId="5" fontId="2" fillId="2" borderId="10" xfId="0" applyNumberFormat="1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wn\Documents\Tracking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Summary New Year"/>
      <sheetName val="New Year-Full Year"/>
      <sheetName val="Pastor Detail"/>
    </sheetNames>
    <sheetDataSet>
      <sheetData sheetId="0">
        <row r="2">
          <cell r="C2">
            <v>2019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showGridLines="0" tabSelected="1" topLeftCell="A48" workbookViewId="0">
      <selection activeCell="G52" sqref="G52"/>
    </sheetView>
  </sheetViews>
  <sheetFormatPr defaultRowHeight="14.5"/>
  <cols>
    <col min="1" max="1" width="35" style="1" customWidth="1"/>
    <col min="2" max="3" width="15.1796875" style="1" customWidth="1"/>
    <col min="4" max="16384" width="8.7265625" style="1"/>
  </cols>
  <sheetData>
    <row r="1" spans="1:3">
      <c r="B1" s="2" t="s">
        <v>0</v>
      </c>
      <c r="C1" s="3" t="s">
        <v>1</v>
      </c>
    </row>
    <row r="2" spans="1:3">
      <c r="A2" s="4"/>
      <c r="B2" s="5"/>
      <c r="C2" s="6"/>
    </row>
    <row r="3" spans="1:3">
      <c r="A3" s="7" t="s">
        <v>2</v>
      </c>
      <c r="B3" s="61">
        <v>46322</v>
      </c>
      <c r="C3" s="9"/>
    </row>
    <row r="4" spans="1:3">
      <c r="A4" s="7"/>
      <c r="B4" s="10"/>
      <c r="C4" s="11"/>
    </row>
    <row r="5" spans="1:3" ht="15" thickBot="1">
      <c r="A5" s="7" t="s">
        <v>3</v>
      </c>
      <c r="B5" s="13">
        <v>22440</v>
      </c>
      <c r="C5" s="14"/>
    </row>
    <row r="6" spans="1:3" ht="14.5" customHeight="1">
      <c r="A6" s="7" t="s">
        <v>4</v>
      </c>
      <c r="B6" s="15">
        <f>+B3+B5</f>
        <v>68762</v>
      </c>
      <c r="C6" s="16"/>
    </row>
    <row r="7" spans="1:3">
      <c r="A7" s="17"/>
      <c r="B7" s="10"/>
      <c r="C7" s="11"/>
    </row>
    <row r="8" spans="1:3">
      <c r="A8" s="7" t="s">
        <v>5</v>
      </c>
      <c r="B8" s="19">
        <v>1</v>
      </c>
      <c r="C8" s="20"/>
    </row>
    <row r="9" spans="1:3">
      <c r="A9" s="17"/>
      <c r="B9" s="10"/>
      <c r="C9" s="11"/>
    </row>
    <row r="10" spans="1:3">
      <c r="A10" s="7" t="s">
        <v>6</v>
      </c>
      <c r="B10" s="21">
        <v>0.02</v>
      </c>
      <c r="C10" s="22"/>
    </row>
    <row r="11" spans="1:3">
      <c r="A11" s="23" t="s">
        <v>7</v>
      </c>
      <c r="B11" s="25">
        <f>ROUND(+B6*(1+B10),0)</f>
        <v>70137</v>
      </c>
      <c r="C11" s="26"/>
    </row>
    <row r="12" spans="1:3">
      <c r="A12" s="17"/>
      <c r="B12" s="10"/>
      <c r="C12" s="11"/>
    </row>
    <row r="13" spans="1:3">
      <c r="A13" s="27" t="s">
        <v>8</v>
      </c>
      <c r="B13" s="10"/>
      <c r="C13" s="11"/>
    </row>
    <row r="14" spans="1:3">
      <c r="A14" s="27"/>
      <c r="B14" s="28">
        <f>+B32</f>
        <v>2600</v>
      </c>
      <c r="C14" s="29"/>
    </row>
    <row r="15" spans="1:3">
      <c r="A15" s="27"/>
      <c r="B15" s="10"/>
      <c r="C15" s="11"/>
    </row>
    <row r="16" spans="1:3">
      <c r="A16" s="30"/>
      <c r="B16" s="10"/>
      <c r="C16" s="11"/>
    </row>
    <row r="17" spans="1:5">
      <c r="A17" s="23" t="s">
        <v>7</v>
      </c>
      <c r="B17" s="25">
        <f>+B11+B14</f>
        <v>72737</v>
      </c>
      <c r="C17" s="26">
        <f>50297+22440</f>
        <v>72737</v>
      </c>
    </row>
    <row r="18" spans="1:5">
      <c r="A18" s="17"/>
      <c r="B18" s="10"/>
      <c r="C18" s="11"/>
    </row>
    <row r="19" spans="1:5">
      <c r="A19" s="17" t="s">
        <v>9</v>
      </c>
      <c r="B19" s="32">
        <v>7.6499999999999999E-2</v>
      </c>
      <c r="C19" s="33">
        <v>7.6499999999999999E-2</v>
      </c>
    </row>
    <row r="20" spans="1:5">
      <c r="A20" s="17"/>
      <c r="B20" s="10"/>
      <c r="C20" s="11"/>
    </row>
    <row r="21" spans="1:5">
      <c r="A21" s="17" t="s">
        <v>10</v>
      </c>
      <c r="B21" s="28">
        <f>+B17*B19</f>
        <v>5564.3805000000002</v>
      </c>
      <c r="C21" s="29">
        <f>+C17*C19</f>
        <v>5564.3805000000002</v>
      </c>
      <c r="E21" s="34"/>
    </row>
    <row r="22" spans="1:5">
      <c r="A22" s="17"/>
      <c r="B22" s="10"/>
      <c r="C22" s="11"/>
    </row>
    <row r="23" spans="1:5">
      <c r="A23" s="35" t="s">
        <v>11</v>
      </c>
      <c r="B23" s="37">
        <f>+B17+B21</f>
        <v>78301.380499999999</v>
      </c>
      <c r="C23" s="38">
        <f>+C17+C21</f>
        <v>78301.380499999999</v>
      </c>
    </row>
    <row r="24" spans="1:5">
      <c r="A24" s="39"/>
      <c r="B24" s="39"/>
      <c r="C24" s="39"/>
    </row>
    <row r="25" spans="1:5">
      <c r="A25" s="40" t="s">
        <v>12</v>
      </c>
      <c r="B25" s="5"/>
      <c r="C25" s="41"/>
    </row>
    <row r="26" spans="1:5">
      <c r="A26" s="17" t="s">
        <v>13</v>
      </c>
      <c r="B26" s="74">
        <v>4973</v>
      </c>
      <c r="C26" s="12"/>
      <c r="E26" s="34"/>
    </row>
    <row r="27" spans="1:5">
      <c r="A27" s="17" t="s">
        <v>14</v>
      </c>
      <c r="B27" s="74">
        <v>2600</v>
      </c>
      <c r="C27" s="12"/>
      <c r="E27" s="34"/>
    </row>
    <row r="28" spans="1:5">
      <c r="A28" s="17" t="s">
        <v>15</v>
      </c>
      <c r="B28" s="28">
        <f t="shared" ref="B28" si="0">+B26+B27</f>
        <v>7573</v>
      </c>
      <c r="C28" s="12"/>
      <c r="E28" s="34"/>
    </row>
    <row r="29" spans="1:5">
      <c r="A29" s="17" t="s">
        <v>16</v>
      </c>
      <c r="B29" s="32">
        <v>0.25</v>
      </c>
      <c r="C29" s="31"/>
    </row>
    <row r="30" spans="1:5">
      <c r="A30" s="24" t="s">
        <v>17</v>
      </c>
      <c r="B30" s="75">
        <f>ROUND(+B28/(1-B29),0)</f>
        <v>10097</v>
      </c>
      <c r="C30" s="42"/>
    </row>
    <row r="31" spans="1:5">
      <c r="A31" s="17"/>
      <c r="B31" s="10"/>
      <c r="C31" s="18"/>
    </row>
    <row r="32" spans="1:5">
      <c r="A32" s="17" t="s">
        <v>18</v>
      </c>
      <c r="B32" s="74">
        <v>2600</v>
      </c>
      <c r="C32" s="12"/>
    </row>
    <row r="33" spans="1:3">
      <c r="A33" s="36" t="s">
        <v>19</v>
      </c>
      <c r="B33" s="76">
        <f>+B30-B32</f>
        <v>7497</v>
      </c>
      <c r="C33" s="43"/>
    </row>
    <row r="34" spans="1:3">
      <c r="A34" s="39"/>
      <c r="B34" s="39"/>
      <c r="C34" s="39"/>
    </row>
    <row r="35" spans="1:3">
      <c r="A35" s="40" t="s">
        <v>20</v>
      </c>
      <c r="B35" s="77">
        <v>0.11</v>
      </c>
      <c r="C35" s="44"/>
    </row>
    <row r="36" spans="1:3">
      <c r="A36" s="17" t="s">
        <v>21</v>
      </c>
      <c r="B36" s="8">
        <f t="shared" ref="B36" si="1">+B23</f>
        <v>78301.380499999999</v>
      </c>
      <c r="C36" s="45"/>
    </row>
    <row r="37" spans="1:3">
      <c r="A37" s="17" t="s">
        <v>22</v>
      </c>
      <c r="B37" s="8">
        <f>ROUND(+B36*B35,0)</f>
        <v>8613</v>
      </c>
      <c r="C37" s="46">
        <v>8613</v>
      </c>
    </row>
    <row r="38" spans="1:3">
      <c r="A38" s="17" t="s">
        <v>23</v>
      </c>
      <c r="B38" s="8">
        <f t="shared" ref="B38" si="2">+B33</f>
        <v>7497</v>
      </c>
      <c r="C38" s="46">
        <v>5090</v>
      </c>
    </row>
    <row r="39" spans="1:3">
      <c r="A39" s="24" t="s">
        <v>24</v>
      </c>
      <c r="B39" s="78">
        <f t="shared" ref="B39" si="3">+B37+B38</f>
        <v>16110</v>
      </c>
      <c r="C39" s="48">
        <f>+C37+C38</f>
        <v>13703</v>
      </c>
    </row>
    <row r="40" spans="1:3">
      <c r="A40" s="36" t="s">
        <v>25</v>
      </c>
      <c r="B40" s="79">
        <f>+B39/B36</f>
        <v>0.20574349899233257</v>
      </c>
      <c r="C40" s="49"/>
    </row>
    <row r="41" spans="1:3">
      <c r="A41" s="39"/>
      <c r="B41" s="39"/>
      <c r="C41" s="39"/>
    </row>
    <row r="42" spans="1:3">
      <c r="A42" s="40" t="s">
        <v>26</v>
      </c>
      <c r="B42" s="5"/>
      <c r="C42" s="41"/>
    </row>
    <row r="43" spans="1:3">
      <c r="A43" s="17" t="s">
        <v>27</v>
      </c>
      <c r="B43" s="80">
        <v>2.5000000000000001E-2</v>
      </c>
      <c r="C43" s="50">
        <v>2.5000000000000001E-2</v>
      </c>
    </row>
    <row r="44" spans="1:3">
      <c r="A44" s="17" t="s">
        <v>28</v>
      </c>
      <c r="B44" s="80">
        <v>2E-3</v>
      </c>
      <c r="C44" s="50">
        <v>2E-3</v>
      </c>
    </row>
    <row r="45" spans="1:3">
      <c r="A45" s="17" t="s">
        <v>29</v>
      </c>
      <c r="B45" s="80">
        <v>7.0000000000000001E-3</v>
      </c>
      <c r="C45" s="50">
        <v>7.0000000000000001E-3</v>
      </c>
    </row>
    <row r="46" spans="1:3">
      <c r="A46" s="17" t="s">
        <v>30</v>
      </c>
      <c r="B46" s="81">
        <f t="shared" ref="B46:C46" si="4">+B43+B44+B45</f>
        <v>3.4000000000000002E-2</v>
      </c>
      <c r="C46" s="51">
        <f t="shared" si="4"/>
        <v>3.4000000000000002E-2</v>
      </c>
    </row>
    <row r="47" spans="1:3">
      <c r="A47" s="17" t="s">
        <v>21</v>
      </c>
      <c r="B47" s="8">
        <f t="shared" ref="B47:C47" si="5">+B23</f>
        <v>78301.380499999999</v>
      </c>
      <c r="C47" s="45">
        <f t="shared" si="5"/>
        <v>78301.380499999999</v>
      </c>
    </row>
    <row r="48" spans="1:3" ht="43.5">
      <c r="A48" s="52" t="s">
        <v>31</v>
      </c>
      <c r="B48" s="61">
        <v>0</v>
      </c>
      <c r="C48" s="46">
        <v>0</v>
      </c>
    </row>
    <row r="49" spans="1:5" ht="29">
      <c r="A49" s="52" t="s">
        <v>32</v>
      </c>
      <c r="B49" s="8"/>
      <c r="C49" s="45"/>
    </row>
    <row r="50" spans="1:5">
      <c r="A50" s="53" t="s">
        <v>33</v>
      </c>
      <c r="B50" s="8">
        <f t="shared" ref="B50:C50" si="6">SUM(B47:B49)</f>
        <v>78301.380499999999</v>
      </c>
      <c r="C50" s="54">
        <f t="shared" si="6"/>
        <v>78301.380499999999</v>
      </c>
    </row>
    <row r="51" spans="1:5">
      <c r="A51" s="55" t="s">
        <v>34</v>
      </c>
      <c r="B51" s="37">
        <f>ROUND(+B50*B46,0)</f>
        <v>2662</v>
      </c>
      <c r="C51" s="56">
        <f t="shared" ref="C51" si="7">+C50*C46</f>
        <v>2662.2469370000003</v>
      </c>
    </row>
    <row r="53" spans="1:5">
      <c r="A53" s="57" t="s">
        <v>35</v>
      </c>
      <c r="B53" s="59"/>
      <c r="C53" s="58"/>
    </row>
    <row r="54" spans="1:5">
      <c r="A54" s="53" t="s">
        <v>36</v>
      </c>
      <c r="B54" s="61">
        <v>1500</v>
      </c>
      <c r="C54" s="60">
        <v>1500</v>
      </c>
    </row>
    <row r="55" spans="1:5">
      <c r="A55" s="53" t="s">
        <v>37</v>
      </c>
      <c r="B55" s="61">
        <v>1000</v>
      </c>
      <c r="C55" s="60">
        <v>700</v>
      </c>
      <c r="D55" s="62"/>
    </row>
    <row r="56" spans="1:5">
      <c r="A56" s="53" t="s">
        <v>35</v>
      </c>
      <c r="B56" s="61">
        <v>600</v>
      </c>
      <c r="C56" s="60">
        <v>600</v>
      </c>
    </row>
    <row r="57" spans="1:5">
      <c r="A57" s="63" t="s">
        <v>38</v>
      </c>
      <c r="B57" s="64">
        <f>25*12</f>
        <v>300</v>
      </c>
      <c r="C57" s="65">
        <f>25*12</f>
        <v>300</v>
      </c>
    </row>
    <row r="58" spans="1:5">
      <c r="A58" s="66" t="s">
        <v>39</v>
      </c>
      <c r="B58" s="68">
        <f t="shared" ref="B58:C58" si="8">+SUM(B54:B57)</f>
        <v>3400</v>
      </c>
      <c r="C58" s="67">
        <f t="shared" si="8"/>
        <v>3100</v>
      </c>
    </row>
    <row r="60" spans="1:5">
      <c r="A60" s="69" t="s">
        <v>40</v>
      </c>
      <c r="B60" s="71">
        <f t="shared" ref="B60:C60" si="9">+B23+B39+B51+B58</f>
        <v>100473.3805</v>
      </c>
      <c r="C60" s="70">
        <f t="shared" si="9"/>
        <v>97766.627437000003</v>
      </c>
      <c r="E60" s="34"/>
    </row>
    <row r="61" spans="1:5">
      <c r="A61" s="72"/>
      <c r="B61" s="47"/>
      <c r="C61" s="47"/>
    </row>
    <row r="62" spans="1:5">
      <c r="A62" s="83" t="s">
        <v>41</v>
      </c>
      <c r="B62" s="86">
        <f>+B60-B21</f>
        <v>94909</v>
      </c>
      <c r="C62" s="84">
        <f>+C60-C21</f>
        <v>92202.246937000004</v>
      </c>
    </row>
    <row r="63" spans="1:5">
      <c r="A63" s="82"/>
      <c r="B63" s="87"/>
      <c r="C63" s="85"/>
    </row>
    <row r="64" spans="1:5">
      <c r="B64" s="73"/>
    </row>
  </sheetData>
  <mergeCells count="4">
    <mergeCell ref="A13:A15"/>
    <mergeCell ref="A62:A63"/>
    <mergeCell ref="B62:B63"/>
    <mergeCell ref="C62:C6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Pastor Detail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2018-11-07T17:17:16Z</dcterms:created>
  <dcterms:modified xsi:type="dcterms:W3CDTF">2018-11-07T17:20:21Z</dcterms:modified>
</cp:coreProperties>
</file>